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270" windowHeight="4650" activeTab="1"/>
  </bookViews>
  <sheets>
    <sheet name="Chart1" sheetId="2" r:id="rId1"/>
    <sheet name="Sheet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1" l="1"/>
  <c r="AK6" i="1"/>
  <c r="AK5" i="1"/>
  <c r="AK3" i="1"/>
  <c r="AK4" i="1"/>
  <c r="AK2" i="1"/>
  <c r="AC24" i="1"/>
  <c r="AC23" i="1"/>
  <c r="AD22" i="1"/>
  <c r="AC22" i="1"/>
  <c r="AD20" i="1"/>
  <c r="AC20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" i="1"/>
  <c r="AI4" i="1" l="1"/>
  <c r="AI3" i="1"/>
  <c r="AI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" i="1"/>
  <c r="K30" i="1" l="1"/>
  <c r="L25" i="1"/>
  <c r="K25" i="1"/>
  <c r="E25" i="1"/>
  <c r="E26" i="1"/>
  <c r="E27" i="1"/>
  <c r="E28" i="1"/>
  <c r="E29" i="1"/>
  <c r="E30" i="1"/>
  <c r="E31" i="1"/>
  <c r="R3" i="1" s="1"/>
  <c r="E32" i="1"/>
  <c r="E33" i="1"/>
  <c r="E34" i="1"/>
  <c r="E35" i="1"/>
  <c r="E36" i="1"/>
  <c r="R4" i="1" s="1"/>
  <c r="E37" i="1"/>
  <c r="E38" i="1"/>
  <c r="E39" i="1"/>
  <c r="E40" i="1"/>
  <c r="E41" i="1"/>
  <c r="E24" i="1"/>
  <c r="R2" i="1" s="1"/>
  <c r="C36" i="1"/>
  <c r="C38" i="1" s="1"/>
  <c r="D38" i="1" s="1"/>
  <c r="C30" i="1"/>
  <c r="C32" i="1" s="1"/>
  <c r="D32" i="1" s="1"/>
  <c r="C24" i="1"/>
  <c r="C26" i="1" s="1"/>
  <c r="D26" i="1" s="1"/>
  <c r="C28" i="1"/>
  <c r="D28" i="1" s="1"/>
  <c r="C25" i="1"/>
  <c r="D25" i="1" s="1"/>
  <c r="G25" i="1" s="1"/>
  <c r="G38" i="1" l="1"/>
  <c r="G26" i="1"/>
  <c r="S2" i="1"/>
  <c r="S3" i="1"/>
  <c r="S4" i="1"/>
  <c r="G32" i="1"/>
  <c r="G28" i="1"/>
  <c r="C29" i="1"/>
  <c r="D29" i="1" s="1"/>
  <c r="C27" i="1"/>
  <c r="D27" i="1" s="1"/>
  <c r="D24" i="1"/>
  <c r="D36" i="1"/>
  <c r="D30" i="1"/>
  <c r="C41" i="1"/>
  <c r="D41" i="1" s="1"/>
  <c r="C39" i="1"/>
  <c r="D39" i="1" s="1"/>
  <c r="C37" i="1"/>
  <c r="D37" i="1" s="1"/>
  <c r="C40" i="1"/>
  <c r="D40" i="1" s="1"/>
  <c r="C35" i="1"/>
  <c r="D35" i="1" s="1"/>
  <c r="C33" i="1"/>
  <c r="D33" i="1" s="1"/>
  <c r="C31" i="1"/>
  <c r="D31" i="1" s="1"/>
  <c r="C34" i="1"/>
  <c r="D34" i="1" s="1"/>
  <c r="K4" i="1"/>
  <c r="C14" i="1"/>
  <c r="D14" i="1" s="1"/>
  <c r="C8" i="1"/>
  <c r="D8" i="1" s="1"/>
  <c r="C2" i="1"/>
  <c r="D2" i="1" s="1"/>
  <c r="U2" i="1" l="1"/>
  <c r="V2" i="1"/>
  <c r="V6" i="1" s="1"/>
  <c r="T2" i="1"/>
  <c r="V4" i="1"/>
  <c r="T4" i="1"/>
  <c r="U4" i="1"/>
  <c r="T3" i="1"/>
  <c r="U3" i="1"/>
  <c r="V3" i="1"/>
  <c r="G31" i="1"/>
  <c r="G35" i="1"/>
  <c r="G37" i="1"/>
  <c r="G41" i="1"/>
  <c r="G36" i="1"/>
  <c r="G27" i="1"/>
  <c r="C6" i="1"/>
  <c r="D6" i="1" s="1"/>
  <c r="C12" i="1"/>
  <c r="D12" i="1" s="1"/>
  <c r="C18" i="1"/>
  <c r="D18" i="1" s="1"/>
  <c r="C3" i="1"/>
  <c r="D3" i="1" s="1"/>
  <c r="C4" i="1"/>
  <c r="D4" i="1" s="1"/>
  <c r="C9" i="1"/>
  <c r="D9" i="1" s="1"/>
  <c r="C10" i="1"/>
  <c r="D10" i="1" s="1"/>
  <c r="C15" i="1"/>
  <c r="D15" i="1" s="1"/>
  <c r="C16" i="1"/>
  <c r="D16" i="1" s="1"/>
  <c r="G34" i="1"/>
  <c r="G33" i="1"/>
  <c r="G40" i="1"/>
  <c r="G39" i="1"/>
  <c r="G30" i="1"/>
  <c r="F24" i="1"/>
  <c r="H24" i="1" s="1"/>
  <c r="G24" i="1"/>
  <c r="G29" i="1"/>
  <c r="C7" i="1"/>
  <c r="D7" i="1" s="1"/>
  <c r="C5" i="1"/>
  <c r="D5" i="1" s="1"/>
  <c r="C13" i="1"/>
  <c r="D13" i="1" s="1"/>
  <c r="C11" i="1"/>
  <c r="D11" i="1" s="1"/>
  <c r="C19" i="1"/>
  <c r="D19" i="1" s="1"/>
  <c r="C17" i="1"/>
  <c r="D17" i="1" s="1"/>
  <c r="K24" i="1" l="1"/>
  <c r="K28" i="1" s="1"/>
  <c r="E14" i="1"/>
  <c r="H14" i="1" s="1"/>
  <c r="U6" i="1"/>
  <c r="E8" i="1"/>
  <c r="T6" i="1"/>
  <c r="F26" i="1"/>
  <c r="H26" i="1" s="1"/>
  <c r="L24" i="1" s="1"/>
  <c r="K27" i="1" s="1"/>
  <c r="K29" i="1" s="1"/>
  <c r="F41" i="1"/>
  <c r="H41" i="1" s="1"/>
  <c r="F37" i="1"/>
  <c r="H37" i="1" s="1"/>
  <c r="F33" i="1"/>
  <c r="H33" i="1" s="1"/>
  <c r="F29" i="1"/>
  <c r="H29" i="1" s="1"/>
  <c r="F25" i="1"/>
  <c r="H25" i="1" s="1"/>
  <c r="F38" i="1"/>
  <c r="H38" i="1" s="1"/>
  <c r="F34" i="1"/>
  <c r="H34" i="1" s="1"/>
  <c r="F30" i="1"/>
  <c r="H30" i="1" s="1"/>
  <c r="F39" i="1"/>
  <c r="H39" i="1" s="1"/>
  <c r="F35" i="1"/>
  <c r="H35" i="1" s="1"/>
  <c r="F31" i="1"/>
  <c r="H31" i="1" s="1"/>
  <c r="F27" i="1"/>
  <c r="H27" i="1" s="1"/>
  <c r="F40" i="1"/>
  <c r="H40" i="1" s="1"/>
  <c r="F36" i="1"/>
  <c r="H36" i="1" s="1"/>
  <c r="F32" i="1"/>
  <c r="H32" i="1" s="1"/>
  <c r="F28" i="1"/>
  <c r="H28" i="1" s="1"/>
  <c r="H8" i="1"/>
  <c r="E18" i="1"/>
  <c r="E11" i="1"/>
  <c r="H11" i="1" s="1"/>
  <c r="E12" i="1"/>
  <c r="F19" i="1"/>
  <c r="F15" i="1"/>
  <c r="F11" i="1"/>
  <c r="F7" i="1"/>
  <c r="F3" i="1"/>
  <c r="E5" i="1"/>
  <c r="E6" i="1"/>
  <c r="F2" i="1"/>
  <c r="F16" i="1"/>
  <c r="F12" i="1"/>
  <c r="F8" i="1"/>
  <c r="G8" i="1" s="1"/>
  <c r="F4" i="1"/>
  <c r="E19" i="1"/>
  <c r="G19" i="1" s="1"/>
  <c r="E15" i="1"/>
  <c r="E17" i="1"/>
  <c r="E16" i="1"/>
  <c r="E13" i="1"/>
  <c r="H13" i="1" s="1"/>
  <c r="E9" i="1"/>
  <c r="E10" i="1"/>
  <c r="E3" i="1"/>
  <c r="F17" i="1"/>
  <c r="F13" i="1"/>
  <c r="F9" i="1"/>
  <c r="F5" i="1"/>
  <c r="E7" i="1"/>
  <c r="G7" i="1" s="1"/>
  <c r="E2" i="1"/>
  <c r="E4" i="1"/>
  <c r="F18" i="1"/>
  <c r="F14" i="1"/>
  <c r="G14" i="1" s="1"/>
  <c r="F10" i="1"/>
  <c r="F6" i="1"/>
  <c r="H19" i="1" l="1"/>
  <c r="G3" i="1"/>
  <c r="H3" i="1"/>
  <c r="G16" i="1"/>
  <c r="H16" i="1"/>
  <c r="G4" i="1"/>
  <c r="H4" i="1"/>
  <c r="G10" i="1"/>
  <c r="H10" i="1"/>
  <c r="G13" i="1"/>
  <c r="G17" i="1"/>
  <c r="H7" i="1"/>
  <c r="G5" i="1"/>
  <c r="G12" i="1"/>
  <c r="H12" i="1"/>
  <c r="G18" i="1"/>
  <c r="H18" i="1"/>
  <c r="G2" i="1"/>
  <c r="H2" i="1"/>
  <c r="G9" i="1"/>
  <c r="H9" i="1"/>
  <c r="G15" i="1"/>
  <c r="H15" i="1"/>
  <c r="H17" i="1"/>
  <c r="G6" i="1"/>
  <c r="H6" i="1"/>
  <c r="G11" i="1"/>
  <c r="H5" i="1"/>
  <c r="K2" i="1" l="1"/>
</calcChain>
</file>

<file path=xl/sharedStrings.xml><?xml version="1.0" encoding="utf-8"?>
<sst xmlns="http://schemas.openxmlformats.org/spreadsheetml/2006/main" count="55" uniqueCount="43">
  <si>
    <t>trt</t>
  </si>
  <si>
    <t>Y</t>
  </si>
  <si>
    <t>med(trt)</t>
  </si>
  <si>
    <t>d</t>
  </si>
  <si>
    <t>trtmean</t>
  </si>
  <si>
    <t>allmean</t>
  </si>
  <si>
    <t>SSTrts</t>
  </si>
  <si>
    <t>SSE</t>
  </si>
  <si>
    <t>F*</t>
  </si>
  <si>
    <t>F(.95,2,15)</t>
  </si>
  <si>
    <t>s_i^2</t>
  </si>
  <si>
    <t>Weighted Least Squares (Section 18.4)</t>
  </si>
  <si>
    <t>w_ij</t>
  </si>
  <si>
    <t>Ybar_i</t>
  </si>
  <si>
    <t>mu_hatW</t>
  </si>
  <si>
    <t>SSEW(C)</t>
  </si>
  <si>
    <t>SSEW(R)</t>
  </si>
  <si>
    <t>Complete</t>
  </si>
  <si>
    <t>Reduced</t>
  </si>
  <si>
    <t>df_E</t>
  </si>
  <si>
    <t>F*(Num)</t>
  </si>
  <si>
    <t>F*(Den)</t>
  </si>
  <si>
    <t>Trt</t>
  </si>
  <si>
    <t>Mean</t>
  </si>
  <si>
    <t>SD</t>
  </si>
  <si>
    <t>Var/Mean</t>
  </si>
  <si>
    <t>SD/Mean</t>
  </si>
  <si>
    <t>SD/Mean^2</t>
  </si>
  <si>
    <t>max/min</t>
  </si>
  <si>
    <t>rank</t>
  </si>
  <si>
    <t>RankSum</t>
  </si>
  <si>
    <t>TrtMnRnk</t>
  </si>
  <si>
    <t>AllMnRnk</t>
  </si>
  <si>
    <t>SSE_Rnk</t>
  </si>
  <si>
    <t>SSTR_Rnk</t>
  </si>
  <si>
    <t>Sum</t>
  </si>
  <si>
    <t>MS</t>
  </si>
  <si>
    <t>df</t>
  </si>
  <si>
    <t>F(.95,2,17)</t>
  </si>
  <si>
    <t>n_i</t>
  </si>
  <si>
    <t>R_i^2/n_i</t>
  </si>
  <si>
    <t>KWTS</t>
  </si>
  <si>
    <t>X2(0.95,2)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</si>
</sst>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d=|Y_ij-med(Y_i)| vs Treatment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d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Sheet1!$M$2:$M$19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xVal>
          <c:yVal>
            <c:numRef>
              <c:f>Sheet1!$N$2:$N$19</c:f>
              <c:numCache>
                <c:formatCode>General</c:formatCode>
                <c:ptCount val="18"/>
                <c:pt idx="0">
                  <c:v>5.7500000000000142</c:v>
                </c:pt>
                <c:pt idx="1">
                  <c:v>3.3499999999999943</c:v>
                </c:pt>
                <c:pt idx="2">
                  <c:v>15.149999999999991</c:v>
                </c:pt>
                <c:pt idx="3">
                  <c:v>3.3500000000000085</c:v>
                </c:pt>
                <c:pt idx="4">
                  <c:v>3.4499999999999886</c:v>
                </c:pt>
                <c:pt idx="5">
                  <c:v>18.850000000000009</c:v>
                </c:pt>
                <c:pt idx="6">
                  <c:v>3.5000000000000071</c:v>
                </c:pt>
                <c:pt idx="7">
                  <c:v>2.3000000000000043</c:v>
                </c:pt>
                <c:pt idx="8">
                  <c:v>10.899999999999991</c:v>
                </c:pt>
                <c:pt idx="9">
                  <c:v>12.900000000000006</c:v>
                </c:pt>
                <c:pt idx="10">
                  <c:v>2.2999999999999972</c:v>
                </c:pt>
                <c:pt idx="11">
                  <c:v>8.3999999999999915</c:v>
                </c:pt>
                <c:pt idx="12">
                  <c:v>14.549999999999997</c:v>
                </c:pt>
                <c:pt idx="13">
                  <c:v>17.25</c:v>
                </c:pt>
                <c:pt idx="14">
                  <c:v>36.75</c:v>
                </c:pt>
                <c:pt idx="15">
                  <c:v>19.649999999999991</c:v>
                </c:pt>
                <c:pt idx="16">
                  <c:v>47.350000000000009</c:v>
                </c:pt>
                <c:pt idx="17">
                  <c:v>14.549999999999997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07040"/>
        <c:axId val="119217536"/>
      </c:scatterChart>
      <c:valAx>
        <c:axId val="97607040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9217536"/>
        <c:crosses val="autoZero"/>
        <c:crossBetween val="midCat"/>
        <c:majorUnit val="1"/>
      </c:valAx>
      <c:valAx>
        <c:axId val="11921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7607040"/>
        <c:crosses val="autoZero"/>
        <c:crossBetween val="midCat"/>
      </c:valAx>
      <c:spPr>
        <a:solidFill>
          <a:srgbClr val="66FFFF"/>
        </a:solidFill>
      </c:spPr>
    </c:plotArea>
    <c:plotVisOnly val="1"/>
    <c:dispBlanksAs val="gap"/>
    <c:showDLblsOverMax val="0"/>
  </c:chart>
  <c:spPr>
    <a:solidFill>
      <a:srgbClr val="FF99FF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W1" zoomScale="140" zoomScaleNormal="140" workbookViewId="0">
      <selection activeCell="AK8" sqref="AK8"/>
    </sheetView>
  </sheetViews>
  <sheetFormatPr defaultRowHeight="15" x14ac:dyDescent="0.25"/>
  <cols>
    <col min="10" max="11" width="10.7109375" customWidth="1"/>
    <col min="28" max="28" width="9.85546875" customWidth="1"/>
    <col min="36" max="36" width="9.7109375" customWidth="1"/>
  </cols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K1" t="s">
        <v>8</v>
      </c>
      <c r="M1" t="s">
        <v>0</v>
      </c>
      <c r="N1" t="s">
        <v>3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X1" t="s">
        <v>0</v>
      </c>
      <c r="Y1" t="s">
        <v>1</v>
      </c>
      <c r="Z1" t="s">
        <v>29</v>
      </c>
      <c r="AA1" t="s">
        <v>31</v>
      </c>
      <c r="AB1" t="s">
        <v>32</v>
      </c>
      <c r="AC1" t="s">
        <v>34</v>
      </c>
      <c r="AD1" t="s">
        <v>33</v>
      </c>
      <c r="AH1" t="s">
        <v>22</v>
      </c>
      <c r="AI1" t="s">
        <v>30</v>
      </c>
      <c r="AJ1" t="s">
        <v>39</v>
      </c>
      <c r="AK1" t="s">
        <v>40</v>
      </c>
    </row>
    <row r="2" spans="1:37" x14ac:dyDescent="0.25">
      <c r="A2" s="1">
        <v>1</v>
      </c>
      <c r="B2">
        <v>97.3</v>
      </c>
      <c r="C2">
        <f>MEDIAN(B2:B7)</f>
        <v>103.05000000000001</v>
      </c>
      <c r="D2">
        <f>ABS(B2-C2)</f>
        <v>5.7500000000000142</v>
      </c>
      <c r="E2">
        <f>SUMIF($A$2:$A$19,"="&amp;A2,$D$2:$D$19)/COUNTIF($A$2:$A$19,"="&amp;A2)</f>
        <v>8.3166666666666682</v>
      </c>
      <c r="F2">
        <f>AVERAGE($D$2:$D$19)</f>
        <v>13.350000000000001</v>
      </c>
      <c r="G2">
        <f>(E2-F2)^2</f>
        <v>25.334444444444443</v>
      </c>
      <c r="H2">
        <f>(D2-E2)^2</f>
        <v>6.5877777777777125</v>
      </c>
      <c r="K2">
        <f>(SUM(G2:G19)/2)/(SUM(H2:H19)/15)</f>
        <v>7.1675498408735843</v>
      </c>
      <c r="M2" s="1">
        <v>1</v>
      </c>
      <c r="N2">
        <v>5.7500000000000142</v>
      </c>
      <c r="Q2">
        <v>1</v>
      </c>
      <c r="R2">
        <f>E24</f>
        <v>102.05</v>
      </c>
      <c r="S2">
        <f>SQRT(C24)</f>
        <v>11.368860980766824</v>
      </c>
      <c r="T2">
        <f>S2^2/R2</f>
        <v>1.2665458108770447</v>
      </c>
      <c r="U2">
        <f>S2/R2</f>
        <v>0.11140481117850881</v>
      </c>
      <c r="V2">
        <f>S2/R2^2</f>
        <v>1.091668899348445E-3</v>
      </c>
      <c r="X2" s="1">
        <v>1</v>
      </c>
      <c r="Y2">
        <v>97.3</v>
      </c>
      <c r="Z2">
        <f>RANK(Y2,$Y$2:$Y$19,1)</f>
        <v>11</v>
      </c>
      <c r="AA2">
        <f>SUMIF($X$2:$X$19,"="&amp;X2,$Z$2:$Z$19)/COUNTIF($X$2:$X$19,"="&amp;X2)</f>
        <v>12.5</v>
      </c>
      <c r="AB2">
        <f>AVERAGE($Z$2:$Z$19)</f>
        <v>9.5</v>
      </c>
      <c r="AC2">
        <f>(AA2-AB2)^2</f>
        <v>9</v>
      </c>
      <c r="AD2">
        <f>(Z2-AA2)^2</f>
        <v>2.25</v>
      </c>
      <c r="AH2">
        <v>1</v>
      </c>
      <c r="AI2">
        <f>SUM(Z2:Z7)</f>
        <v>75</v>
      </c>
      <c r="AJ2">
        <v>6</v>
      </c>
      <c r="AK2">
        <f>AI2^2/AJ2</f>
        <v>937.5</v>
      </c>
    </row>
    <row r="3" spans="1:37" x14ac:dyDescent="0.25">
      <c r="A3" s="1">
        <v>1</v>
      </c>
      <c r="B3">
        <v>106.4</v>
      </c>
      <c r="C3">
        <f>$C$2</f>
        <v>103.05000000000001</v>
      </c>
      <c r="D3">
        <f t="shared" ref="D3:D19" si="0">ABS(B3-C3)</f>
        <v>3.3499999999999943</v>
      </c>
      <c r="E3">
        <f t="shared" ref="E3:E19" si="1">SUMIF($A$2:$A$19,"="&amp;A3,$D$2:$D$19)/COUNTIF($A$2:$A$19,"="&amp;A3)</f>
        <v>8.3166666666666682</v>
      </c>
      <c r="F3">
        <f t="shared" ref="F3:F19" si="2">AVERAGE($D$2:$D$19)</f>
        <v>13.350000000000001</v>
      </c>
      <c r="G3">
        <f t="shared" ref="G3:G19" si="3">(E3-F3)^2</f>
        <v>25.334444444444443</v>
      </c>
      <c r="H3">
        <f t="shared" ref="H3:H19" si="4">(D3-E3)^2</f>
        <v>24.66777777777785</v>
      </c>
      <c r="K3" t="s">
        <v>9</v>
      </c>
      <c r="M3" s="1">
        <v>1</v>
      </c>
      <c r="N3">
        <v>3.3499999999999943</v>
      </c>
      <c r="Q3">
        <v>2</v>
      </c>
      <c r="R3">
        <f>E31</f>
        <v>48.883333333333333</v>
      </c>
      <c r="S3">
        <f>SQRT(C30)</f>
        <v>8.6857162437341007</v>
      </c>
      <c r="T3">
        <f t="shared" ref="T3:T4" si="5">S3^2/R3</f>
        <v>1.5433003750426135</v>
      </c>
      <c r="U3">
        <f t="shared" ref="U3:U4" si="6">S3/R3</f>
        <v>0.17768256891375589</v>
      </c>
      <c r="V3">
        <f t="shared" ref="V3:V4" si="7">S3/R3^2</f>
        <v>3.6348292311030872E-3</v>
      </c>
      <c r="X3" s="1">
        <v>1</v>
      </c>
      <c r="Y3">
        <v>106.4</v>
      </c>
      <c r="Z3">
        <f t="shared" ref="Z3:Z19" si="8">RANK(Y3,$Y$2:$Y$19,1)</f>
        <v>13</v>
      </c>
      <c r="AA3">
        <f t="shared" ref="AA3:AA19" si="9">SUMIF($X$2:$X$19,"="&amp;X3,$Z$2:$Z$19)/COUNTIF($X$2:$X$19,"="&amp;X3)</f>
        <v>12.5</v>
      </c>
      <c r="AB3">
        <f t="shared" ref="AB3:AB19" si="10">AVERAGE($Z$2:$Z$19)</f>
        <v>9.5</v>
      </c>
      <c r="AC3">
        <f t="shared" ref="AC3:AC19" si="11">(AA3-AB3)^2</f>
        <v>9</v>
      </c>
      <c r="AD3">
        <f t="shared" ref="AD3:AD19" si="12">(Z3-AA3)^2</f>
        <v>0.25</v>
      </c>
      <c r="AH3">
        <v>2</v>
      </c>
      <c r="AI3">
        <f>SUM(Z8:Z13)</f>
        <v>21</v>
      </c>
      <c r="AJ3">
        <v>6</v>
      </c>
      <c r="AK3">
        <f t="shared" ref="AK3:AK4" si="13">AI3^2/AJ3</f>
        <v>73.5</v>
      </c>
    </row>
    <row r="4" spans="1:37" x14ac:dyDescent="0.25">
      <c r="A4" s="1">
        <v>1</v>
      </c>
      <c r="B4">
        <v>118.2</v>
      </c>
      <c r="C4">
        <f t="shared" ref="C4:C7" si="14">$C$2</f>
        <v>103.05000000000001</v>
      </c>
      <c r="D4">
        <f t="shared" si="0"/>
        <v>15.149999999999991</v>
      </c>
      <c r="E4">
        <f t="shared" si="1"/>
        <v>8.3166666666666682</v>
      </c>
      <c r="F4">
        <f t="shared" si="2"/>
        <v>13.350000000000001</v>
      </c>
      <c r="G4">
        <f t="shared" si="3"/>
        <v>25.334444444444443</v>
      </c>
      <c r="H4">
        <f t="shared" si="4"/>
        <v>46.694444444444308</v>
      </c>
      <c r="K4">
        <f>FINV(0.05,2,15)</f>
        <v>3.6823203436732408</v>
      </c>
      <c r="M4" s="1">
        <v>1</v>
      </c>
      <c r="N4">
        <v>15.149999999999991</v>
      </c>
      <c r="Q4">
        <v>3</v>
      </c>
      <c r="R4">
        <f>E36</f>
        <v>103.91666666666667</v>
      </c>
      <c r="S4">
        <f>SQRT(C36)</f>
        <v>30.621784184901262</v>
      </c>
      <c r="T4">
        <f t="shared" si="5"/>
        <v>9.0235156375300942</v>
      </c>
      <c r="U4">
        <f t="shared" si="6"/>
        <v>0.29467635141845638</v>
      </c>
      <c r="V4">
        <f t="shared" si="7"/>
        <v>2.8356986503780888E-3</v>
      </c>
      <c r="X4" s="1">
        <v>1</v>
      </c>
      <c r="Y4">
        <v>118.2</v>
      </c>
      <c r="Z4">
        <f t="shared" si="8"/>
        <v>16</v>
      </c>
      <c r="AA4">
        <f t="shared" si="9"/>
        <v>12.5</v>
      </c>
      <c r="AB4">
        <f t="shared" si="10"/>
        <v>9.5</v>
      </c>
      <c r="AC4">
        <f t="shared" si="11"/>
        <v>9</v>
      </c>
      <c r="AD4">
        <f t="shared" si="12"/>
        <v>12.25</v>
      </c>
      <c r="AH4">
        <v>3</v>
      </c>
      <c r="AI4">
        <f>SUM(Z14:Z19)</f>
        <v>75</v>
      </c>
      <c r="AJ4">
        <v>6</v>
      </c>
      <c r="AK4">
        <f t="shared" si="13"/>
        <v>937.5</v>
      </c>
    </row>
    <row r="5" spans="1:37" x14ac:dyDescent="0.25">
      <c r="A5" s="1">
        <v>1</v>
      </c>
      <c r="B5">
        <v>99.7</v>
      </c>
      <c r="C5">
        <f t="shared" si="14"/>
        <v>103.05000000000001</v>
      </c>
      <c r="D5">
        <f t="shared" si="0"/>
        <v>3.3500000000000085</v>
      </c>
      <c r="E5">
        <f t="shared" si="1"/>
        <v>8.3166666666666682</v>
      </c>
      <c r="F5">
        <f t="shared" si="2"/>
        <v>13.350000000000001</v>
      </c>
      <c r="G5">
        <f t="shared" si="3"/>
        <v>25.334444444444443</v>
      </c>
      <c r="H5">
        <f t="shared" si="4"/>
        <v>24.667777777777708</v>
      </c>
      <c r="M5" s="1">
        <v>1</v>
      </c>
      <c r="N5">
        <v>3.3500000000000085</v>
      </c>
      <c r="X5" s="1">
        <v>1</v>
      </c>
      <c r="Y5">
        <v>99.7</v>
      </c>
      <c r="Z5">
        <f t="shared" si="8"/>
        <v>12</v>
      </c>
      <c r="AA5">
        <f t="shared" si="9"/>
        <v>12.5</v>
      </c>
      <c r="AB5">
        <f t="shared" si="10"/>
        <v>9.5</v>
      </c>
      <c r="AC5">
        <f t="shared" si="11"/>
        <v>9</v>
      </c>
      <c r="AD5">
        <f t="shared" si="12"/>
        <v>0.25</v>
      </c>
      <c r="AJ5" t="s">
        <v>35</v>
      </c>
      <c r="AK5">
        <f>AK2+AK3+AK4</f>
        <v>1948.5</v>
      </c>
    </row>
    <row r="6" spans="1:37" x14ac:dyDescent="0.25">
      <c r="A6" s="1">
        <v>1</v>
      </c>
      <c r="B6">
        <v>106.5</v>
      </c>
      <c r="C6">
        <f t="shared" si="14"/>
        <v>103.05000000000001</v>
      </c>
      <c r="D6">
        <f t="shared" si="0"/>
        <v>3.4499999999999886</v>
      </c>
      <c r="E6">
        <f t="shared" si="1"/>
        <v>8.3166666666666682</v>
      </c>
      <c r="F6">
        <f t="shared" si="2"/>
        <v>13.350000000000001</v>
      </c>
      <c r="G6">
        <f t="shared" si="3"/>
        <v>25.334444444444443</v>
      </c>
      <c r="H6">
        <f t="shared" si="4"/>
        <v>23.684444444444569</v>
      </c>
      <c r="M6" s="1">
        <v>1</v>
      </c>
      <c r="N6">
        <v>3.4499999999999886</v>
      </c>
      <c r="S6" t="s">
        <v>28</v>
      </c>
      <c r="T6">
        <f>MAX(T2:T4)/MIN(T2:T4)</f>
        <v>7.1245079017564965</v>
      </c>
      <c r="U6">
        <f t="shared" ref="U6:V6" si="15">MAX(U2:U4)/MIN(U2:U4)</f>
        <v>2.6450953805422599</v>
      </c>
      <c r="V6">
        <f t="shared" si="15"/>
        <v>3.3296077531131556</v>
      </c>
      <c r="X6" s="1">
        <v>1</v>
      </c>
      <c r="Y6">
        <v>106.5</v>
      </c>
      <c r="Z6">
        <f t="shared" si="8"/>
        <v>14</v>
      </c>
      <c r="AA6">
        <f t="shared" si="9"/>
        <v>12.5</v>
      </c>
      <c r="AB6">
        <f t="shared" si="10"/>
        <v>9.5</v>
      </c>
      <c r="AC6">
        <f t="shared" si="11"/>
        <v>9</v>
      </c>
      <c r="AD6">
        <f t="shared" si="12"/>
        <v>2.25</v>
      </c>
      <c r="AJ6" t="s">
        <v>41</v>
      </c>
      <c r="AK6">
        <f>(AK5*12/(18*19))-3*19</f>
        <v>11.368421052631575</v>
      </c>
    </row>
    <row r="7" spans="1:37" x14ac:dyDescent="0.25">
      <c r="A7" s="1">
        <v>1</v>
      </c>
      <c r="B7">
        <v>84.2</v>
      </c>
      <c r="C7">
        <f t="shared" si="14"/>
        <v>103.05000000000001</v>
      </c>
      <c r="D7">
        <f t="shared" si="0"/>
        <v>18.850000000000009</v>
      </c>
      <c r="E7">
        <f t="shared" si="1"/>
        <v>8.3166666666666682</v>
      </c>
      <c r="F7">
        <f t="shared" si="2"/>
        <v>13.350000000000001</v>
      </c>
      <c r="G7">
        <f t="shared" si="3"/>
        <v>25.334444444444443</v>
      </c>
      <c r="H7">
        <f t="shared" si="4"/>
        <v>110.95111111111126</v>
      </c>
      <c r="M7" s="1">
        <v>1</v>
      </c>
      <c r="N7">
        <v>18.850000000000009</v>
      </c>
      <c r="X7" s="1">
        <v>1</v>
      </c>
      <c r="Y7">
        <v>84.2</v>
      </c>
      <c r="Z7">
        <f t="shared" si="8"/>
        <v>9</v>
      </c>
      <c r="AA7">
        <f t="shared" si="9"/>
        <v>12.5</v>
      </c>
      <c r="AB7">
        <f t="shared" si="10"/>
        <v>9.5</v>
      </c>
      <c r="AC7">
        <f t="shared" si="11"/>
        <v>9</v>
      </c>
      <c r="AD7">
        <f t="shared" si="12"/>
        <v>12.25</v>
      </c>
      <c r="AJ7" t="s">
        <v>42</v>
      </c>
      <c r="AK7">
        <f>CHIINV(0.05,2)</f>
        <v>5.9914645471079817</v>
      </c>
    </row>
    <row r="8" spans="1:37" x14ac:dyDescent="0.25">
      <c r="A8" s="1">
        <v>2</v>
      </c>
      <c r="B8">
        <v>44.9</v>
      </c>
      <c r="C8">
        <f>MEDIAN(B8:B13)</f>
        <v>48.400000000000006</v>
      </c>
      <c r="D8">
        <f t="shared" si="0"/>
        <v>3.5000000000000071</v>
      </c>
      <c r="E8">
        <f t="shared" si="1"/>
        <v>6.7166666666666659</v>
      </c>
      <c r="F8">
        <f t="shared" si="2"/>
        <v>13.350000000000001</v>
      </c>
      <c r="G8">
        <f t="shared" si="3"/>
        <v>44.001111111111143</v>
      </c>
      <c r="H8">
        <f t="shared" si="4"/>
        <v>10.346944444444393</v>
      </c>
      <c r="M8" s="1">
        <v>2</v>
      </c>
      <c r="N8">
        <v>3.5000000000000071</v>
      </c>
      <c r="X8" s="1">
        <v>2</v>
      </c>
      <c r="Y8">
        <v>44.9</v>
      </c>
      <c r="Z8">
        <f t="shared" si="8"/>
        <v>2</v>
      </c>
      <c r="AA8">
        <f t="shared" si="9"/>
        <v>3.5</v>
      </c>
      <c r="AB8">
        <f t="shared" si="10"/>
        <v>9.5</v>
      </c>
      <c r="AC8">
        <f t="shared" si="11"/>
        <v>36</v>
      </c>
      <c r="AD8">
        <f t="shared" si="12"/>
        <v>2.25</v>
      </c>
    </row>
    <row r="9" spans="1:37" x14ac:dyDescent="0.25">
      <c r="A9" s="1">
        <v>2</v>
      </c>
      <c r="B9">
        <v>46.1</v>
      </c>
      <c r="C9">
        <f>$C$8</f>
        <v>48.400000000000006</v>
      </c>
      <c r="D9">
        <f t="shared" si="0"/>
        <v>2.3000000000000043</v>
      </c>
      <c r="E9">
        <f t="shared" si="1"/>
        <v>6.7166666666666659</v>
      </c>
      <c r="F9">
        <f t="shared" si="2"/>
        <v>13.350000000000001</v>
      </c>
      <c r="G9">
        <f t="shared" si="3"/>
        <v>44.001111111111143</v>
      </c>
      <c r="H9">
        <f t="shared" si="4"/>
        <v>19.5069444444444</v>
      </c>
      <c r="M9" s="1">
        <v>2</v>
      </c>
      <c r="N9">
        <v>2.3000000000000043</v>
      </c>
      <c r="X9" s="1">
        <v>2</v>
      </c>
      <c r="Y9">
        <v>46.1</v>
      </c>
      <c r="Z9">
        <f t="shared" si="8"/>
        <v>3</v>
      </c>
      <c r="AA9">
        <f t="shared" si="9"/>
        <v>3.5</v>
      </c>
      <c r="AB9">
        <f t="shared" si="10"/>
        <v>9.5</v>
      </c>
      <c r="AC9">
        <f t="shared" si="11"/>
        <v>36</v>
      </c>
      <c r="AD9">
        <f t="shared" si="12"/>
        <v>0.25</v>
      </c>
    </row>
    <row r="10" spans="1:37" x14ac:dyDescent="0.25">
      <c r="A10" s="1">
        <v>2</v>
      </c>
      <c r="B10">
        <v>59.3</v>
      </c>
      <c r="C10">
        <f t="shared" ref="C10:C13" si="16">$C$8</f>
        <v>48.400000000000006</v>
      </c>
      <c r="D10">
        <f t="shared" si="0"/>
        <v>10.899999999999991</v>
      </c>
      <c r="E10">
        <f t="shared" si="1"/>
        <v>6.7166666666666659</v>
      </c>
      <c r="F10">
        <f t="shared" si="2"/>
        <v>13.350000000000001</v>
      </c>
      <c r="G10">
        <f t="shared" si="3"/>
        <v>44.001111111111143</v>
      </c>
      <c r="H10">
        <f t="shared" si="4"/>
        <v>17.500277777777711</v>
      </c>
      <c r="M10" s="1">
        <v>2</v>
      </c>
      <c r="N10">
        <v>10.899999999999991</v>
      </c>
      <c r="X10" s="1">
        <v>2</v>
      </c>
      <c r="Y10">
        <v>59.3</v>
      </c>
      <c r="Z10">
        <f t="shared" si="8"/>
        <v>6</v>
      </c>
      <c r="AA10">
        <f t="shared" si="9"/>
        <v>3.5</v>
      </c>
      <c r="AB10">
        <f t="shared" si="10"/>
        <v>9.5</v>
      </c>
      <c r="AC10">
        <f t="shared" si="11"/>
        <v>36</v>
      </c>
      <c r="AD10">
        <f t="shared" si="12"/>
        <v>6.25</v>
      </c>
    </row>
    <row r="11" spans="1:37" x14ac:dyDescent="0.25">
      <c r="A11" s="1">
        <v>2</v>
      </c>
      <c r="B11">
        <v>35.5</v>
      </c>
      <c r="C11">
        <f t="shared" si="16"/>
        <v>48.400000000000006</v>
      </c>
      <c r="D11">
        <f t="shared" si="0"/>
        <v>12.900000000000006</v>
      </c>
      <c r="E11">
        <f t="shared" si="1"/>
        <v>6.7166666666666659</v>
      </c>
      <c r="F11">
        <f t="shared" si="2"/>
        <v>13.350000000000001</v>
      </c>
      <c r="G11">
        <f t="shared" si="3"/>
        <v>44.001111111111143</v>
      </c>
      <c r="H11">
        <f t="shared" si="4"/>
        <v>38.233611111111188</v>
      </c>
      <c r="M11" s="1">
        <v>2</v>
      </c>
      <c r="N11">
        <v>12.900000000000006</v>
      </c>
      <c r="X11" s="1">
        <v>2</v>
      </c>
      <c r="Y11">
        <v>35.5</v>
      </c>
      <c r="Z11">
        <f t="shared" si="8"/>
        <v>1</v>
      </c>
      <c r="AA11">
        <f t="shared" si="9"/>
        <v>3.5</v>
      </c>
      <c r="AB11">
        <f t="shared" si="10"/>
        <v>9.5</v>
      </c>
      <c r="AC11">
        <f t="shared" si="11"/>
        <v>36</v>
      </c>
      <c r="AD11">
        <f t="shared" si="12"/>
        <v>6.25</v>
      </c>
    </row>
    <row r="12" spans="1:37" x14ac:dyDescent="0.25">
      <c r="A12" s="1">
        <v>2</v>
      </c>
      <c r="B12">
        <v>50.7</v>
      </c>
      <c r="C12">
        <f t="shared" si="16"/>
        <v>48.400000000000006</v>
      </c>
      <c r="D12">
        <f t="shared" si="0"/>
        <v>2.2999999999999972</v>
      </c>
      <c r="E12">
        <f t="shared" si="1"/>
        <v>6.7166666666666659</v>
      </c>
      <c r="F12">
        <f t="shared" si="2"/>
        <v>13.350000000000001</v>
      </c>
      <c r="G12">
        <f t="shared" si="3"/>
        <v>44.001111111111143</v>
      </c>
      <c r="H12">
        <f t="shared" si="4"/>
        <v>19.506944444444464</v>
      </c>
      <c r="M12" s="1">
        <v>2</v>
      </c>
      <c r="N12">
        <v>2.2999999999999972</v>
      </c>
      <c r="X12" s="1">
        <v>2</v>
      </c>
      <c r="Y12">
        <v>50.7</v>
      </c>
      <c r="Z12">
        <f t="shared" si="8"/>
        <v>4</v>
      </c>
      <c r="AA12">
        <f t="shared" si="9"/>
        <v>3.5</v>
      </c>
      <c r="AB12">
        <f t="shared" si="10"/>
        <v>9.5</v>
      </c>
      <c r="AC12">
        <f t="shared" si="11"/>
        <v>36</v>
      </c>
      <c r="AD12">
        <f t="shared" si="12"/>
        <v>0.25</v>
      </c>
    </row>
    <row r="13" spans="1:37" x14ac:dyDescent="0.25">
      <c r="A13" s="1">
        <v>2</v>
      </c>
      <c r="B13">
        <v>56.8</v>
      </c>
      <c r="C13">
        <f t="shared" si="16"/>
        <v>48.400000000000006</v>
      </c>
      <c r="D13">
        <f t="shared" si="0"/>
        <v>8.3999999999999915</v>
      </c>
      <c r="E13">
        <f t="shared" si="1"/>
        <v>6.7166666666666659</v>
      </c>
      <c r="F13">
        <f t="shared" si="2"/>
        <v>13.350000000000001</v>
      </c>
      <c r="G13">
        <f t="shared" si="3"/>
        <v>44.001111111111143</v>
      </c>
      <c r="H13">
        <f t="shared" si="4"/>
        <v>2.8336111111110851</v>
      </c>
      <c r="M13" s="1">
        <v>2</v>
      </c>
      <c r="N13">
        <v>8.3999999999999915</v>
      </c>
      <c r="X13" s="1">
        <v>2</v>
      </c>
      <c r="Y13">
        <v>56.8</v>
      </c>
      <c r="Z13">
        <f t="shared" si="8"/>
        <v>5</v>
      </c>
      <c r="AA13">
        <f t="shared" si="9"/>
        <v>3.5</v>
      </c>
      <c r="AB13">
        <f t="shared" si="10"/>
        <v>9.5</v>
      </c>
      <c r="AC13">
        <f t="shared" si="11"/>
        <v>36</v>
      </c>
      <c r="AD13">
        <f t="shared" si="12"/>
        <v>2.25</v>
      </c>
    </row>
    <row r="14" spans="1:37" x14ac:dyDescent="0.25">
      <c r="A14" s="1">
        <v>3</v>
      </c>
      <c r="B14">
        <v>88</v>
      </c>
      <c r="C14">
        <f>MEDIAN(B14:B19)</f>
        <v>102.55</v>
      </c>
      <c r="D14">
        <f t="shared" si="0"/>
        <v>14.549999999999997</v>
      </c>
      <c r="E14">
        <f t="shared" si="1"/>
        <v>25.016666666666669</v>
      </c>
      <c r="F14">
        <f t="shared" si="2"/>
        <v>13.350000000000001</v>
      </c>
      <c r="G14">
        <f t="shared" si="3"/>
        <v>136.11111111111114</v>
      </c>
      <c r="H14">
        <f t="shared" si="4"/>
        <v>109.55111111111123</v>
      </c>
      <c r="M14" s="1">
        <v>3</v>
      </c>
      <c r="N14">
        <v>14.549999999999997</v>
      </c>
      <c r="X14" s="1">
        <v>3</v>
      </c>
      <c r="Y14">
        <v>88</v>
      </c>
      <c r="Z14">
        <f t="shared" si="8"/>
        <v>10</v>
      </c>
      <c r="AA14">
        <f t="shared" si="9"/>
        <v>12.5</v>
      </c>
      <c r="AB14">
        <f t="shared" si="10"/>
        <v>9.5</v>
      </c>
      <c r="AC14">
        <f t="shared" si="11"/>
        <v>9</v>
      </c>
      <c r="AD14">
        <f t="shared" si="12"/>
        <v>6.25</v>
      </c>
    </row>
    <row r="15" spans="1:37" x14ac:dyDescent="0.25">
      <c r="A15" s="1">
        <v>3</v>
      </c>
      <c r="B15">
        <v>119.8</v>
      </c>
      <c r="C15">
        <f>$C$14</f>
        <v>102.55</v>
      </c>
      <c r="D15">
        <f t="shared" si="0"/>
        <v>17.25</v>
      </c>
      <c r="E15">
        <f t="shared" si="1"/>
        <v>25.016666666666669</v>
      </c>
      <c r="F15">
        <f t="shared" si="2"/>
        <v>13.350000000000001</v>
      </c>
      <c r="G15">
        <f t="shared" si="3"/>
        <v>136.11111111111114</v>
      </c>
      <c r="H15">
        <f t="shared" si="4"/>
        <v>60.321111111111151</v>
      </c>
      <c r="M15" s="1">
        <v>3</v>
      </c>
      <c r="N15">
        <v>17.25</v>
      </c>
      <c r="X15" s="1">
        <v>3</v>
      </c>
      <c r="Y15">
        <v>119.8</v>
      </c>
      <c r="Z15">
        <f t="shared" si="8"/>
        <v>17</v>
      </c>
      <c r="AA15">
        <f t="shared" si="9"/>
        <v>12.5</v>
      </c>
      <c r="AB15">
        <f t="shared" si="10"/>
        <v>9.5</v>
      </c>
      <c r="AC15">
        <f t="shared" si="11"/>
        <v>9</v>
      </c>
      <c r="AD15">
        <f t="shared" si="12"/>
        <v>20.25</v>
      </c>
    </row>
    <row r="16" spans="1:37" x14ac:dyDescent="0.25">
      <c r="A16" s="1">
        <v>3</v>
      </c>
      <c r="B16">
        <v>65.8</v>
      </c>
      <c r="C16">
        <f t="shared" ref="C16:C19" si="17">$C$14</f>
        <v>102.55</v>
      </c>
      <c r="D16">
        <f t="shared" si="0"/>
        <v>36.75</v>
      </c>
      <c r="E16">
        <f t="shared" si="1"/>
        <v>25.016666666666669</v>
      </c>
      <c r="F16">
        <f t="shared" si="2"/>
        <v>13.350000000000001</v>
      </c>
      <c r="G16">
        <f t="shared" si="3"/>
        <v>136.11111111111114</v>
      </c>
      <c r="H16">
        <f t="shared" si="4"/>
        <v>137.67111111111106</v>
      </c>
      <c r="M16" s="1">
        <v>3</v>
      </c>
      <c r="N16">
        <v>36.75</v>
      </c>
      <c r="X16" s="1">
        <v>3</v>
      </c>
      <c r="Y16">
        <v>65.8</v>
      </c>
      <c r="Z16">
        <f t="shared" si="8"/>
        <v>7</v>
      </c>
      <c r="AA16">
        <f t="shared" si="9"/>
        <v>12.5</v>
      </c>
      <c r="AB16">
        <f t="shared" si="10"/>
        <v>9.5</v>
      </c>
      <c r="AC16">
        <f t="shared" si="11"/>
        <v>9</v>
      </c>
      <c r="AD16">
        <f t="shared" si="12"/>
        <v>30.25</v>
      </c>
    </row>
    <row r="17" spans="1:30" x14ac:dyDescent="0.25">
      <c r="A17" s="1">
        <v>3</v>
      </c>
      <c r="B17">
        <v>82.9</v>
      </c>
      <c r="C17">
        <f t="shared" si="17"/>
        <v>102.55</v>
      </c>
      <c r="D17">
        <f t="shared" si="0"/>
        <v>19.649999999999991</v>
      </c>
      <c r="E17">
        <f t="shared" si="1"/>
        <v>25.016666666666669</v>
      </c>
      <c r="F17">
        <f t="shared" si="2"/>
        <v>13.350000000000001</v>
      </c>
      <c r="G17">
        <f t="shared" si="3"/>
        <v>136.11111111111114</v>
      </c>
      <c r="H17">
        <f t="shared" si="4"/>
        <v>28.801111111111229</v>
      </c>
      <c r="M17" s="1">
        <v>3</v>
      </c>
      <c r="N17">
        <v>19.649999999999991</v>
      </c>
      <c r="X17" s="1">
        <v>3</v>
      </c>
      <c r="Y17">
        <v>82.9</v>
      </c>
      <c r="Z17">
        <f t="shared" si="8"/>
        <v>8</v>
      </c>
      <c r="AA17">
        <f t="shared" si="9"/>
        <v>12.5</v>
      </c>
      <c r="AB17">
        <f t="shared" si="10"/>
        <v>9.5</v>
      </c>
      <c r="AC17">
        <f t="shared" si="11"/>
        <v>9</v>
      </c>
      <c r="AD17">
        <f t="shared" si="12"/>
        <v>20.25</v>
      </c>
    </row>
    <row r="18" spans="1:30" x14ac:dyDescent="0.25">
      <c r="A18" s="1">
        <v>3</v>
      </c>
      <c r="B18">
        <v>149.9</v>
      </c>
      <c r="C18">
        <f t="shared" si="17"/>
        <v>102.55</v>
      </c>
      <c r="D18">
        <f t="shared" si="0"/>
        <v>47.350000000000009</v>
      </c>
      <c r="E18">
        <f t="shared" si="1"/>
        <v>25.016666666666669</v>
      </c>
      <c r="F18">
        <f t="shared" si="2"/>
        <v>13.350000000000001</v>
      </c>
      <c r="G18">
        <f t="shared" si="3"/>
        <v>136.11111111111114</v>
      </c>
      <c r="H18">
        <f t="shared" si="4"/>
        <v>498.77777777777806</v>
      </c>
      <c r="M18" s="1">
        <v>3</v>
      </c>
      <c r="N18">
        <v>47.350000000000009</v>
      </c>
      <c r="X18" s="1">
        <v>3</v>
      </c>
      <c r="Y18">
        <v>149.9</v>
      </c>
      <c r="Z18">
        <f t="shared" si="8"/>
        <v>18</v>
      </c>
      <c r="AA18">
        <f t="shared" si="9"/>
        <v>12.5</v>
      </c>
      <c r="AB18">
        <f t="shared" si="10"/>
        <v>9.5</v>
      </c>
      <c r="AC18">
        <f t="shared" si="11"/>
        <v>9</v>
      </c>
      <c r="AD18">
        <f t="shared" si="12"/>
        <v>30.25</v>
      </c>
    </row>
    <row r="19" spans="1:30" x14ac:dyDescent="0.25">
      <c r="A19" s="1">
        <v>3</v>
      </c>
      <c r="B19">
        <v>117.1</v>
      </c>
      <c r="C19">
        <f t="shared" si="17"/>
        <v>102.55</v>
      </c>
      <c r="D19">
        <f t="shared" si="0"/>
        <v>14.549999999999997</v>
      </c>
      <c r="E19">
        <f t="shared" si="1"/>
        <v>25.016666666666669</v>
      </c>
      <c r="F19">
        <f t="shared" si="2"/>
        <v>13.350000000000001</v>
      </c>
      <c r="G19">
        <f t="shared" si="3"/>
        <v>136.11111111111114</v>
      </c>
      <c r="H19">
        <f t="shared" si="4"/>
        <v>109.55111111111123</v>
      </c>
      <c r="M19" s="1">
        <v>3</v>
      </c>
      <c r="N19">
        <v>14.549999999999997</v>
      </c>
      <c r="X19" s="1">
        <v>3</v>
      </c>
      <c r="Y19">
        <v>117.1</v>
      </c>
      <c r="Z19">
        <f t="shared" si="8"/>
        <v>15</v>
      </c>
      <c r="AA19">
        <f t="shared" si="9"/>
        <v>12.5</v>
      </c>
      <c r="AB19">
        <f t="shared" si="10"/>
        <v>9.5</v>
      </c>
      <c r="AC19">
        <f t="shared" si="11"/>
        <v>9</v>
      </c>
      <c r="AD19">
        <f t="shared" si="12"/>
        <v>6.25</v>
      </c>
    </row>
    <row r="20" spans="1:30" x14ac:dyDescent="0.25">
      <c r="AB20" t="s">
        <v>35</v>
      </c>
      <c r="AC20">
        <f>SUM(AC2:AC19)</f>
        <v>324</v>
      </c>
      <c r="AD20">
        <f>SUM(AD2:AD19)</f>
        <v>160.5</v>
      </c>
    </row>
    <row r="21" spans="1:30" x14ac:dyDescent="0.25">
      <c r="AB21" t="s">
        <v>37</v>
      </c>
      <c r="AC21">
        <v>2</v>
      </c>
      <c r="AD21">
        <v>15</v>
      </c>
    </row>
    <row r="22" spans="1:30" x14ac:dyDescent="0.25">
      <c r="A22" t="s">
        <v>11</v>
      </c>
      <c r="AB22" t="s">
        <v>36</v>
      </c>
      <c r="AC22">
        <f>AC20/AC21</f>
        <v>162</v>
      </c>
      <c r="AD22">
        <f>AD20/AD21</f>
        <v>10.7</v>
      </c>
    </row>
    <row r="23" spans="1:30" x14ac:dyDescent="0.25">
      <c r="A23" t="s">
        <v>0</v>
      </c>
      <c r="B23" t="s">
        <v>1</v>
      </c>
      <c r="C23" t="s">
        <v>10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K23" t="s">
        <v>17</v>
      </c>
      <c r="L23" t="s">
        <v>18</v>
      </c>
      <c r="AB23" t="s">
        <v>8</v>
      </c>
      <c r="AC23">
        <f>AC22/AD22</f>
        <v>15.140186915887851</v>
      </c>
    </row>
    <row r="24" spans="1:30" x14ac:dyDescent="0.25">
      <c r="A24" s="1">
        <v>1</v>
      </c>
      <c r="B24">
        <v>97.3</v>
      </c>
      <c r="C24">
        <f>VAR(B24:B29)</f>
        <v>129.25100000000239</v>
      </c>
      <c r="D24">
        <f>1/C24</f>
        <v>7.7368840473186398E-3</v>
      </c>
      <c r="E24">
        <f>SUMIF($A$24:$A$41,"="&amp;A24,$B$24:$B$41)/COUNTIF($A$24:$A$41,"="&amp;A24)</f>
        <v>102.05</v>
      </c>
      <c r="F24">
        <f>SUMPRODUCT(D24:D41,B24:B41)/SUM(D24:D41)</f>
        <v>70.191772165679652</v>
      </c>
      <c r="G24">
        <f>D24*(B24-E24)^2</f>
        <v>0.1745634463176268</v>
      </c>
      <c r="H24">
        <f>D24*(B24-F24)^2</f>
        <v>5.685495789722375</v>
      </c>
      <c r="J24" t="s">
        <v>7</v>
      </c>
      <c r="K24">
        <f>SUM(G24:G41)</f>
        <v>14.999999999999911</v>
      </c>
      <c r="L24">
        <f>SUM(H24:H41)</f>
        <v>105.50411350220213</v>
      </c>
      <c r="AB24" t="s">
        <v>38</v>
      </c>
      <c r="AC24">
        <f>FINV(0.05,2,17)</f>
        <v>3.5915305684750827</v>
      </c>
    </row>
    <row r="25" spans="1:30" x14ac:dyDescent="0.25">
      <c r="A25" s="1">
        <v>1</v>
      </c>
      <c r="B25">
        <v>106.4</v>
      </c>
      <c r="C25">
        <f>$C$24</f>
        <v>129.25100000000239</v>
      </c>
      <c r="D25">
        <f t="shared" ref="D25:D41" si="18">1/C25</f>
        <v>7.7368840473186398E-3</v>
      </c>
      <c r="E25">
        <f t="shared" ref="E25:E41" si="19">SUMIF($A$24:$A$41,"="&amp;A25,$B$24:$B$41)/COUNTIF($A$24:$A$41,"="&amp;A25)</f>
        <v>102.05</v>
      </c>
      <c r="F25">
        <f>$F$24</f>
        <v>70.191772165679652</v>
      </c>
      <c r="G25">
        <f t="shared" ref="G25:G41" si="20">D25*(B25-E25)^2</f>
        <v>0.14640118838538754</v>
      </c>
      <c r="H25">
        <f t="shared" ref="H25:H41" si="21">D25*(B25-F25)^2</f>
        <v>10.143331679461102</v>
      </c>
      <c r="J25" t="s">
        <v>19</v>
      </c>
      <c r="K25">
        <f>18-3</f>
        <v>15</v>
      </c>
      <c r="L25">
        <f>18-1</f>
        <v>17</v>
      </c>
    </row>
    <row r="26" spans="1:30" x14ac:dyDescent="0.25">
      <c r="A26" s="1">
        <v>1</v>
      </c>
      <c r="B26">
        <v>118.2</v>
      </c>
      <c r="C26">
        <f t="shared" ref="C26:C29" si="22">$C$24</f>
        <v>129.25100000000239</v>
      </c>
      <c r="D26">
        <f t="shared" si="18"/>
        <v>7.7368840473186398E-3</v>
      </c>
      <c r="E26">
        <f t="shared" si="19"/>
        <v>102.05</v>
      </c>
      <c r="F26">
        <f t="shared" ref="F26:F41" si="23">$F$24</f>
        <v>70.191772165679652</v>
      </c>
      <c r="G26">
        <f t="shared" si="20"/>
        <v>2.0179534394317673</v>
      </c>
      <c r="H26">
        <f t="shared" si="21"/>
        <v>17.8318925175973</v>
      </c>
    </row>
    <row r="27" spans="1:30" x14ac:dyDescent="0.25">
      <c r="A27" s="1">
        <v>1</v>
      </c>
      <c r="B27">
        <v>99.7</v>
      </c>
      <c r="C27">
        <f t="shared" si="22"/>
        <v>129.25100000000239</v>
      </c>
      <c r="D27">
        <f t="shared" si="18"/>
        <v>7.7368840473186398E-3</v>
      </c>
      <c r="E27">
        <f t="shared" si="19"/>
        <v>102.05</v>
      </c>
      <c r="F27">
        <f t="shared" si="23"/>
        <v>70.191772165679652</v>
      </c>
      <c r="G27">
        <f t="shared" si="20"/>
        <v>4.2726942151316984E-2</v>
      </c>
      <c r="H27">
        <f t="shared" si="21"/>
        <v>6.7367796761506087</v>
      </c>
      <c r="J27" t="s">
        <v>20</v>
      </c>
      <c r="K27">
        <f>(L24-K24)/(L25-K25)</f>
        <v>45.252056751101108</v>
      </c>
    </row>
    <row r="28" spans="1:30" x14ac:dyDescent="0.25">
      <c r="A28" s="1">
        <v>1</v>
      </c>
      <c r="B28">
        <v>106.5</v>
      </c>
      <c r="C28">
        <f t="shared" si="22"/>
        <v>129.25100000000239</v>
      </c>
      <c r="D28">
        <f t="shared" si="18"/>
        <v>7.7368840473186398E-3</v>
      </c>
      <c r="E28">
        <f t="shared" si="19"/>
        <v>102.05</v>
      </c>
      <c r="F28">
        <f t="shared" si="23"/>
        <v>70.191772165679652</v>
      </c>
      <c r="G28">
        <f t="shared" si="20"/>
        <v>0.15320964634702758</v>
      </c>
      <c r="H28">
        <f t="shared" si="21"/>
        <v>10.199436820364179</v>
      </c>
      <c r="J28" t="s">
        <v>21</v>
      </c>
      <c r="K28">
        <f>K24/K25</f>
        <v>0.99999999999999412</v>
      </c>
    </row>
    <row r="29" spans="1:30" x14ac:dyDescent="0.25">
      <c r="A29" s="1">
        <v>1</v>
      </c>
      <c r="B29">
        <v>84.2</v>
      </c>
      <c r="C29">
        <f t="shared" si="22"/>
        <v>129.25100000000239</v>
      </c>
      <c r="D29">
        <f t="shared" si="18"/>
        <v>7.7368840473186398E-3</v>
      </c>
      <c r="E29">
        <f t="shared" si="19"/>
        <v>102.05</v>
      </c>
      <c r="F29">
        <f t="shared" si="23"/>
        <v>70.191772165679652</v>
      </c>
      <c r="G29">
        <f t="shared" si="20"/>
        <v>2.4651453373667818</v>
      </c>
      <c r="H29">
        <f t="shared" si="21"/>
        <v>1.5182122154430049</v>
      </c>
      <c r="J29" t="s">
        <v>8</v>
      </c>
      <c r="K29">
        <f>K27/K28</f>
        <v>45.252056751101371</v>
      </c>
    </row>
    <row r="30" spans="1:30" x14ac:dyDescent="0.25">
      <c r="A30" s="1">
        <v>2</v>
      </c>
      <c r="B30">
        <v>44.9</v>
      </c>
      <c r="C30">
        <f>VAR(B30:B35)</f>
        <v>75.441666666666421</v>
      </c>
      <c r="D30">
        <f t="shared" si="18"/>
        <v>1.3255274494642703E-2</v>
      </c>
      <c r="E30">
        <f t="shared" si="19"/>
        <v>48.883333333333333</v>
      </c>
      <c r="F30">
        <f t="shared" si="23"/>
        <v>70.191772165679652</v>
      </c>
      <c r="G30">
        <f t="shared" si="20"/>
        <v>0.21032070400235725</v>
      </c>
      <c r="H30">
        <f t="shared" si="21"/>
        <v>8.4790510011795011</v>
      </c>
      <c r="J30" t="s">
        <v>9</v>
      </c>
      <c r="K30">
        <f>FINV(0.05,2,15)</f>
        <v>3.6823203436732408</v>
      </c>
    </row>
    <row r="31" spans="1:30" x14ac:dyDescent="0.25">
      <c r="A31" s="1">
        <v>2</v>
      </c>
      <c r="B31">
        <v>46.1</v>
      </c>
      <c r="C31">
        <f>$C$30</f>
        <v>75.441666666666421</v>
      </c>
      <c r="D31">
        <f t="shared" si="18"/>
        <v>1.3255274494642703E-2</v>
      </c>
      <c r="E31">
        <f t="shared" si="19"/>
        <v>48.883333333333333</v>
      </c>
      <c r="F31">
        <f t="shared" si="23"/>
        <v>70.191772165679652</v>
      </c>
      <c r="G31">
        <f t="shared" si="20"/>
        <v>0.10268787510585829</v>
      </c>
      <c r="H31">
        <f t="shared" si="21"/>
        <v>7.6935400784228696</v>
      </c>
    </row>
    <row r="32" spans="1:30" x14ac:dyDescent="0.25">
      <c r="A32" s="1">
        <v>2</v>
      </c>
      <c r="B32">
        <v>59.3</v>
      </c>
      <c r="C32">
        <f t="shared" ref="C32:C35" si="24">$C$30</f>
        <v>75.441666666666421</v>
      </c>
      <c r="D32">
        <f t="shared" si="18"/>
        <v>1.3255274494642703E-2</v>
      </c>
      <c r="E32">
        <f t="shared" si="19"/>
        <v>48.883333333333333</v>
      </c>
      <c r="F32">
        <f t="shared" si="23"/>
        <v>70.191772165679652</v>
      </c>
      <c r="G32">
        <f t="shared" si="20"/>
        <v>1.4382893331860567</v>
      </c>
      <c r="H32">
        <f t="shared" si="21"/>
        <v>1.5724825040416364</v>
      </c>
    </row>
    <row r="33" spans="1:8" x14ac:dyDescent="0.25">
      <c r="A33" s="1">
        <v>2</v>
      </c>
      <c r="B33">
        <v>35.5</v>
      </c>
      <c r="C33">
        <f t="shared" si="24"/>
        <v>75.441666666666421</v>
      </c>
      <c r="D33">
        <f t="shared" si="18"/>
        <v>1.3255274494642703E-2</v>
      </c>
      <c r="E33">
        <f t="shared" si="19"/>
        <v>48.883333333333333</v>
      </c>
      <c r="F33">
        <f t="shared" si="23"/>
        <v>70.191772165679652</v>
      </c>
      <c r="G33">
        <f t="shared" si="20"/>
        <v>2.3742000810044628</v>
      </c>
      <c r="H33">
        <f t="shared" si="21"/>
        <v>15.952975446752625</v>
      </c>
    </row>
    <row r="34" spans="1:8" x14ac:dyDescent="0.25">
      <c r="A34" s="1">
        <v>2</v>
      </c>
      <c r="B34">
        <v>50.7</v>
      </c>
      <c r="C34">
        <f t="shared" si="24"/>
        <v>75.441666666666421</v>
      </c>
      <c r="D34">
        <f t="shared" si="18"/>
        <v>1.3255274494642703E-2</v>
      </c>
      <c r="E34">
        <f t="shared" si="19"/>
        <v>48.883333333333333</v>
      </c>
      <c r="F34">
        <f t="shared" si="23"/>
        <v>70.191772165679652</v>
      </c>
      <c r="G34">
        <f t="shared" si="20"/>
        <v>4.374608785301403E-2</v>
      </c>
      <c r="H34">
        <f t="shared" si="21"/>
        <v>5.0360655980395244</v>
      </c>
    </row>
    <row r="35" spans="1:8" x14ac:dyDescent="0.25">
      <c r="A35" s="1">
        <v>2</v>
      </c>
      <c r="B35">
        <v>56.8</v>
      </c>
      <c r="C35">
        <f t="shared" si="24"/>
        <v>75.441666666666421</v>
      </c>
      <c r="D35">
        <f t="shared" si="18"/>
        <v>1.3255274494642703E-2</v>
      </c>
      <c r="E35">
        <f t="shared" si="19"/>
        <v>48.883333333333333</v>
      </c>
      <c r="F35">
        <f t="shared" si="23"/>
        <v>70.191772165679652</v>
      </c>
      <c r="G35">
        <f t="shared" si="20"/>
        <v>0.83075591884826605</v>
      </c>
      <c r="H35">
        <f t="shared" si="21"/>
        <v>2.3771951185791176</v>
      </c>
    </row>
    <row r="36" spans="1:8" x14ac:dyDescent="0.25">
      <c r="A36" s="1">
        <v>3</v>
      </c>
      <c r="B36">
        <v>88</v>
      </c>
      <c r="C36">
        <f>VAR(B36:B41)</f>
        <v>937.69366666666906</v>
      </c>
      <c r="D36">
        <f t="shared" si="18"/>
        <v>1.0664463625469698E-3</v>
      </c>
      <c r="E36">
        <f t="shared" si="19"/>
        <v>103.91666666666667</v>
      </c>
      <c r="F36">
        <f t="shared" si="23"/>
        <v>70.191772165679652</v>
      </c>
      <c r="G36">
        <f t="shared" si="20"/>
        <v>0.27017381772275023</v>
      </c>
      <c r="H36">
        <f t="shared" si="21"/>
        <v>0.33820531147065575</v>
      </c>
    </row>
    <row r="37" spans="1:8" x14ac:dyDescent="0.25">
      <c r="A37" s="1">
        <v>3</v>
      </c>
      <c r="B37">
        <v>119.8</v>
      </c>
      <c r="C37">
        <f>$C$36</f>
        <v>937.69366666666906</v>
      </c>
      <c r="D37">
        <f t="shared" si="18"/>
        <v>1.0664463625469698E-3</v>
      </c>
      <c r="E37">
        <f t="shared" si="19"/>
        <v>103.91666666666667</v>
      </c>
      <c r="F37">
        <f t="shared" si="23"/>
        <v>70.191772165679652</v>
      </c>
      <c r="G37">
        <f t="shared" si="20"/>
        <v>0.26904338457845001</v>
      </c>
      <c r="H37">
        <f t="shared" si="21"/>
        <v>2.6244991902421182</v>
      </c>
    </row>
    <row r="38" spans="1:8" x14ac:dyDescent="0.25">
      <c r="A38" s="1">
        <v>3</v>
      </c>
      <c r="B38">
        <v>65.8</v>
      </c>
      <c r="C38">
        <f t="shared" ref="C38:C41" si="25">$C$36</f>
        <v>937.69366666666906</v>
      </c>
      <c r="D38">
        <f t="shared" si="18"/>
        <v>1.0664463625469698E-3</v>
      </c>
      <c r="E38">
        <f t="shared" si="19"/>
        <v>103.91666666666667</v>
      </c>
      <c r="F38">
        <f t="shared" si="23"/>
        <v>70.191772165679652</v>
      </c>
      <c r="G38">
        <f t="shared" si="20"/>
        <v>1.5494188874523427</v>
      </c>
      <c r="H38">
        <f t="shared" si="21"/>
        <v>2.056925778735683E-2</v>
      </c>
    </row>
    <row r="39" spans="1:8" x14ac:dyDescent="0.25">
      <c r="A39" s="1">
        <v>3</v>
      </c>
      <c r="B39">
        <v>82.9</v>
      </c>
      <c r="C39">
        <f t="shared" si="25"/>
        <v>937.69366666666906</v>
      </c>
      <c r="D39">
        <f t="shared" si="18"/>
        <v>1.0664463625469698E-3</v>
      </c>
      <c r="E39">
        <f t="shared" si="19"/>
        <v>103.91666666666667</v>
      </c>
      <c r="F39">
        <f t="shared" si="23"/>
        <v>70.191772165679652</v>
      </c>
      <c r="G39">
        <f t="shared" si="20"/>
        <v>0.47104965457209724</v>
      </c>
      <c r="H39">
        <f t="shared" si="21"/>
        <v>0.17223007942785243</v>
      </c>
    </row>
    <row r="40" spans="1:8" x14ac:dyDescent="0.25">
      <c r="A40" s="1">
        <v>3</v>
      </c>
      <c r="B40">
        <v>149.9</v>
      </c>
      <c r="C40">
        <f t="shared" si="25"/>
        <v>937.69366666666906</v>
      </c>
      <c r="D40">
        <f t="shared" si="18"/>
        <v>1.0664463625469698E-3</v>
      </c>
      <c r="E40">
        <f t="shared" si="19"/>
        <v>103.91666666666667</v>
      </c>
      <c r="F40">
        <f t="shared" si="23"/>
        <v>70.191772165679652</v>
      </c>
      <c r="G40">
        <f t="shared" si="20"/>
        <v>2.2549655816285834</v>
      </c>
      <c r="H40">
        <f t="shared" si="21"/>
        <v>6.7755620095772997</v>
      </c>
    </row>
    <row r="41" spans="1:8" x14ac:dyDescent="0.25">
      <c r="A41" s="1">
        <v>3</v>
      </c>
      <c r="B41">
        <v>117.1</v>
      </c>
      <c r="C41">
        <f t="shared" si="25"/>
        <v>937.69366666666906</v>
      </c>
      <c r="D41">
        <f t="shared" si="18"/>
        <v>1.0664463625469698E-3</v>
      </c>
      <c r="E41">
        <f t="shared" si="19"/>
        <v>103.91666666666667</v>
      </c>
      <c r="F41">
        <f t="shared" si="23"/>
        <v>70.191772165679652</v>
      </c>
      <c r="G41">
        <f t="shared" si="20"/>
        <v>0.18534867404576377</v>
      </c>
      <c r="H41">
        <f t="shared" si="21"/>
        <v>2.3465892079429995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csadmin</dc:creator>
  <cp:lastModifiedBy>Winner,Lawrence Herman</cp:lastModifiedBy>
  <dcterms:created xsi:type="dcterms:W3CDTF">2014-01-24T16:21:07Z</dcterms:created>
  <dcterms:modified xsi:type="dcterms:W3CDTF">2014-01-28T13:44:02Z</dcterms:modified>
</cp:coreProperties>
</file>